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Z\ZB\"/>
    </mc:Choice>
  </mc:AlternateContent>
  <bookViews>
    <workbookView xWindow="0" yWindow="0" windowWidth="28770" windowHeight="11880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25" i="17" l="1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F53" i="18"/>
  <c r="K53" i="18"/>
  <c r="J63" i="18"/>
  <c r="D32" i="18"/>
  <c r="J31" i="18" s="1"/>
  <c r="M63" i="18"/>
  <c r="I53" i="18"/>
  <c r="N53" i="18"/>
  <c r="E53" i="18"/>
  <c r="J53" i="18"/>
  <c r="F63" i="18"/>
  <c r="K63" i="18"/>
  <c r="D22" i="18"/>
  <c r="N21" i="18" s="1"/>
  <c r="G53" i="18"/>
  <c r="D56" i="18" s="1"/>
  <c r="J55" i="18" s="1"/>
  <c r="M53" i="18"/>
  <c r="I63" i="18"/>
  <c r="N63" i="18"/>
  <c r="L31" i="18"/>
  <c r="H31" i="18"/>
  <c r="K31" i="18"/>
  <c r="G31" i="18"/>
  <c r="N31" i="18"/>
  <c r="H53" i="18"/>
  <c r="H63" i="18"/>
  <c r="D24" i="15"/>
  <c r="C23" i="15"/>
  <c r="H21" i="18" l="1"/>
  <c r="G21" i="18"/>
  <c r="K21" i="18"/>
  <c r="L21" i="18"/>
  <c r="M21" i="18"/>
  <c r="F21" i="18"/>
  <c r="I21" i="18"/>
  <c r="I31" i="18"/>
  <c r="J21" i="18"/>
  <c r="M31" i="18"/>
  <c r="F31" i="18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F63" i="17" l="1"/>
  <c r="E63" i="17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5" i="7" l="1"/>
  <c r="O25" i="7"/>
  <c r="I24" i="7"/>
  <c r="M22" i="7"/>
  <c r="F21" i="7"/>
  <c r="K19" i="7"/>
  <c r="O17" i="7"/>
  <c r="I16" i="7"/>
  <c r="M14" i="7"/>
  <c r="F13" i="7"/>
  <c r="H13" i="7"/>
  <c r="N25" i="7"/>
  <c r="H24" i="7"/>
  <c r="L22" i="7"/>
  <c r="P20" i="7"/>
  <c r="J19" i="7"/>
  <c r="N17" i="7"/>
  <c r="H16" i="7"/>
  <c r="L14" i="7"/>
  <c r="P12" i="7"/>
  <c r="F24" i="7"/>
  <c r="K22" i="7"/>
  <c r="O20" i="7"/>
  <c r="I19" i="7"/>
  <c r="M17" i="7"/>
  <c r="F16" i="7"/>
  <c r="K14" i="7"/>
  <c r="O12" i="7"/>
  <c r="P16" i="7"/>
  <c r="M21" i="7"/>
  <c r="I15" i="7"/>
  <c r="N24" i="7"/>
  <c r="P19" i="7"/>
  <c r="H15" i="7"/>
  <c r="F23" i="7"/>
  <c r="I18" i="7"/>
  <c r="F15" i="7"/>
  <c r="P22" i="7"/>
  <c r="H18" i="7"/>
  <c r="J13" i="7"/>
  <c r="K24" i="7"/>
  <c r="F18" i="7"/>
  <c r="J24" i="7"/>
  <c r="P17" i="7"/>
  <c r="M25" i="7"/>
  <c r="L25" i="7"/>
  <c r="P23" i="7"/>
  <c r="J22" i="7"/>
  <c r="N20" i="7"/>
  <c r="H19" i="7"/>
  <c r="L17" i="7"/>
  <c r="P15" i="7"/>
  <c r="J14" i="7"/>
  <c r="N12" i="7"/>
  <c r="F22" i="7"/>
  <c r="M15" i="7"/>
  <c r="K12" i="7"/>
  <c r="H25" i="7"/>
  <c r="J20" i="7"/>
  <c r="H17" i="7"/>
  <c r="P13" i="7"/>
  <c r="F25" i="7"/>
  <c r="O21" i="7"/>
  <c r="M18" i="7"/>
  <c r="O13" i="7"/>
  <c r="N21" i="7"/>
  <c r="L18" i="7"/>
  <c r="N13" i="7"/>
  <c r="I23" i="7"/>
  <c r="K18" i="7"/>
  <c r="F12" i="7"/>
  <c r="H23" i="7"/>
  <c r="J18" i="7"/>
  <c r="L13" i="7"/>
  <c r="M24" i="7"/>
  <c r="O19" i="7"/>
  <c r="K13" i="7"/>
  <c r="L24" i="7"/>
  <c r="L16" i="7"/>
  <c r="I21" i="7"/>
  <c r="O14" i="7"/>
  <c r="H21" i="7"/>
  <c r="J16" i="7"/>
  <c r="K25" i="7"/>
  <c r="O23" i="7"/>
  <c r="I22" i="7"/>
  <c r="M20" i="7"/>
  <c r="F19" i="7"/>
  <c r="K17" i="7"/>
  <c r="O15" i="7"/>
  <c r="I14" i="7"/>
  <c r="M12" i="7"/>
  <c r="J25" i="7"/>
  <c r="N23" i="7"/>
  <c r="H22" i="7"/>
  <c r="L20" i="7"/>
  <c r="P18" i="7"/>
  <c r="J17" i="7"/>
  <c r="N15" i="7"/>
  <c r="H14" i="7"/>
  <c r="L12" i="7"/>
  <c r="I25" i="7"/>
  <c r="M23" i="7"/>
  <c r="K20" i="7"/>
  <c r="O18" i="7"/>
  <c r="I17" i="7"/>
  <c r="F14" i="7"/>
  <c r="L23" i="7"/>
  <c r="P21" i="7"/>
  <c r="N18" i="7"/>
  <c r="L15" i="7"/>
  <c r="J12" i="7"/>
  <c r="K23" i="7"/>
  <c r="I20" i="7"/>
  <c r="F17" i="7"/>
  <c r="K15" i="7"/>
  <c r="I12" i="7"/>
  <c r="P24" i="7"/>
  <c r="J23" i="7"/>
  <c r="H20" i="7"/>
  <c r="J15" i="7"/>
  <c r="H12" i="7"/>
  <c r="O24" i="7"/>
  <c r="F20" i="7"/>
  <c r="O16" i="7"/>
  <c r="M13" i="7"/>
  <c r="L21" i="7"/>
  <c r="N16" i="7"/>
  <c r="K21" i="7"/>
  <c r="M16" i="7"/>
  <c r="J21" i="7"/>
  <c r="N19" i="7"/>
  <c r="P14" i="7"/>
  <c r="O22" i="7"/>
  <c r="M19" i="7"/>
  <c r="K16" i="7"/>
  <c r="I13" i="7"/>
  <c r="N22" i="7"/>
  <c r="L19" i="7"/>
  <c r="N14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<sst xmlns="http://schemas.openxmlformats.org/spreadsheetml/2006/main" count="1374" uniqueCount="676">
  <si>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</si>
  <si>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</si>
  <si>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</si>
  <si>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</si>
  <si>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</si>
  <si>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</si>
  <si>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</si>
  <si>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</si>
  <si>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</si>
  <si>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</si>
  <si>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</si>
  <si>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</si>
  <si>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</si>
  <si>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</si>
  <si>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</si>
  <si>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</si>
  <si>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</si>
  <si>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</si>
  <si>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</si>
  <si>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</si>
  <si>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</si>
  <si>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</si>
  <si>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</si>
  <si>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</si>
  <si>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</si>
  <si>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</si>
  <si>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</si>
  <si>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</si>
  <si>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</si>
  <si>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</si>
  <si>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</si>
  <si>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</si>
  <si>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</si>
  <si>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</si>
  <si>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</si>
  <si>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</si>
  <si>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</si>
  <si>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</si>
  <si>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</si>
  <si>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</si>
  <si>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</si>
  <si>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</si>
  <si>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</si>
  <si>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</si>
  <si>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</si>
  <si>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</si>
  <si>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</si>
  <si>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</si>
  <si>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</si>
  <si>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</si>
  <si>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</si>
  <si>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</si>
  <si>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</si>
  <si>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</si>
  <si>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</si>
  <si>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</si>
  <si>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</si>
  <si>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</si>
  <si>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</si>
  <si>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</si>
  <si>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</si>
  <si>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</si>
  <si>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</si>
  <si>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</si>
  <si>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</si>
  <si>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</si>
  <si>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</si>
  <si>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</si>
  <si>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</si>
  <si>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</si>
  <si>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</si>
  <si>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</si>
  <si>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</si>
  <si>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</si>
  <si>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</si>
  <si>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</si>
  <si>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</si>
  <si>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</si>
  <si>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</si>
  <si>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</si>
  <si>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</si>
  <si>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</si>
  <si>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</si>
  <si>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</si>
  <si>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</si>
  <si>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</si>
  <si>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</si>
  <si>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</si>
  <si>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</si>
  <si>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</si>
  <si>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</si>
  <si>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</si>
  <si>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</si>
  <si>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</si>
  <si>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</si>
  <si>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</si>
  <si>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</si>
  <si>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</si>
  <si>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</si>
  <si>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</si>
  <si>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</si>
  <si>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</si>
  <si>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</si>
  <si>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</si>
  <si>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</si>
  <si>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</si>
  <si>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</si>
  <si>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</si>
  <si>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</si>
  <si>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</si>
  <si>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</si>
  <si>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</si>
  <si>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</si>
  <si>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</si>
  <si>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</si>
  <si>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</si>
  <si>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</si>
  <si>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</si>
  <si>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</si>
  <si>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</si>
  <si>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</si>
  <si>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</si>
  <si>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</si>
  <si>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</si>
  <si>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</si>
  <si>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</si>
  <si>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</si>
  <si>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</si>
  <si>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</si>
  <si>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</si>
  <si>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</si>
  <si>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</si>
  <si>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</si>
  <si>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</si>
  <si>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</si>
  <si>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</si>
  <si>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</si>
  <si>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</si>
  <si>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</si>
  <si>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</si>
  <si>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</si>
  <si>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</si>
  <si>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</si>
  <si>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</si>
  <si>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</si>
  <si>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</si>
  <si>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</si>
  <si>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</si>
  <si>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</si>
  <si>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</si>
  <si>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</si>
  <si>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</si>
  <si>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</si>
  <si>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</si>
  <si>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</si>
  <si>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</si>
  <si>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</si>
  <si>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</si>
  <si>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</si>
  <si>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</si>
  <si>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</si>
  <si>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</si>
  <si>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</si>
  <si>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</si>
  <si>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</si>
  <si>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</si>
  <si>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</si>
  <si>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</si>
  <si>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</si>
  <si>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</si>
  <si>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</si>
  <si>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</si>
  <si>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</si>
  <si>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</si>
  <si>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</si>
  <si>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</si>
  <si>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</si>
  <si>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</si>
  <si>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</si>
  <si>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</si>
  <si>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</si>
  <si>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</si>
  <si>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</si>
  <si>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</si>
  <si>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</si>
  <si>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</si>
  <si>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</si>
  <si>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</si>
  <si>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</si>
  <si>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</si>
  <si>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</si>
  <si>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</si>
  <si>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</si>
  <si>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</si>
  <si>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</si>
  <si>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</si>
  <si>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</si>
  <si>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</si>
  <si>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</si>
  <si>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</si>
  <si>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</si>
  <si>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</si>
  <si>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</si>
  <si>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</si>
  <si>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</si>
  <si>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</si>
  <si>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</si>
  <si>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</si>
  <si>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</si>
  <si>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</si>
  <si>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</si>
  <si>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</si>
  <si>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</si>
  <si>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</si>
  <si>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</si>
  <si>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</si>
  <si>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</si>
  <si>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</si>
  <si>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</si>
  <si>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</si>
  <si>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</si>
  <si>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</si>
  <si>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</si>
  <si>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</si>
  <si>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</si>
  <si>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</si>
  <si>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</si>
  <si>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</si>
  <si>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</si>
  <si>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</si>
  <si>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</si>
  <si>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</si>
  <si>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</si>
  <si>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</si>
  <si>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</si>
  <si>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</si>
  <si>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</si>
  <si>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</si>
  <si>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</si>
  <si>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</si>
  <si>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</si>
  <si>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</si>
  <si>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</si>
  <si>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</si>
  <si>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</si>
  <si>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</si>
  <si>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</si>
  <si>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</si>
  <si>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</si>
  <si>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</si>
  <si>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</si>
  <si>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</si>
  <si>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</si>
  <si>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</si>
  <si>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</si>
  <si>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</si>
  <si>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</si>
  <si>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</si>
  <si>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</si>
  <si>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</si>
  <si>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</si>
  <si>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</si>
  <si>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</si>
  <si>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</si>
  <si>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</si>
  <si>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</si>
  <si>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</si>
  <si>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</si>
  <si>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</si>
  <si>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</si>
  <si>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</si>
  <si>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</si>
  <si>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</si>
  <si>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</si>
  <si>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</si>
  <si>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</si>
  <si>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</si>
  <si>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</si>
  <si>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</si>
  <si>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</si>
  <si>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</si>
  <si>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</si>
  <si>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</si>
  <si>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</si>
  <si>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</si>
  <si>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</si>
  <si>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</si>
  <si>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</si>
  <si>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</si>
  <si>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</si>
  <si>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</si>
  <si>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</si>
  <si>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</si>
  <si>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</si>
  <si>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</si>
  <si>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</si>
  <si>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</si>
  <si>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</si>
  <si>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</si>
  <si>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</si>
  <si>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</si>
  <si>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</si>
  <si>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</si>
  <si>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</si>
  <si>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</si>
  <si>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</si>
  <si>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</si>
  <si>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</si>
  <si>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</si>
  <si>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</si>
  <si>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</si>
  <si>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</si>
  <si>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</si>
  <si>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</si>
  <si>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</si>
  <si>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</si>
  <si>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</si>
  <si>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</si>
  <si>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</si>
  <si>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</si>
  <si>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</si>
  <si>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</si>
  <si>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</si>
  <si>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</si>
  <si>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</si>
  <si>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</si>
  <si>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</si>
  <si>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</si>
  <si>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</si>
  <si>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</si>
  <si>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</si>
  <si>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</si>
  <si>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</si>
  <si>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</si>
  <si>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</si>
  <si>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</si>
  <si>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</si>
  <si>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</si>
  <si>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</si>
  <si>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</si>
  <si>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</si>
  <si>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</si>
  <si>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</si>
  <si>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</si>
  <si>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</si>
  <si>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</si>
  <si>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</si>
  <si>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</si>
  <si>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</si>
  <si>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</si>
  <si>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</si>
  <si>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</si>
  <si>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</si>
  <si>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</si>
  <si>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</si>
  <si>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</si>
  <si>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</si>
  <si>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</si>
  <si>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</si>
  <si>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</si>
  <si>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</si>
  <si>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</si>
  <si>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</si>
  <si>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</si>
  <si>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</si>
  <si>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</si>
  <si>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</si>
  <si>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</si>
  <si>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</si>
  <si>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</si>
  <si>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</si>
  <si>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</si>
  <si>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</si>
  <si>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</si>
  <si>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</si>
  <si>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</si>
  <si>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</si>
  <si>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</si>
  <si>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</si>
  <si>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</si>
  <si>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</si>
  <si>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</si>
  <si>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</si>
  <si>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</si>
  <si>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</si>
  <si>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</si>
  <si>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</si>
  <si>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</si>
  <si>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</si>
  <si>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</si>
  <si>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</si>
  <si>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</si>
  <si>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</si>
  <si>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</si>
  <si>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</si>
  <si>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</si>
  <si>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</si>
  <si>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</si>
  <si>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</si>
  <si>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</si>
  <si>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</si>
  <si>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</si>
  <si>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</si>
  <si>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</si>
  <si>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</si>
  <si>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</si>
  <si>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</si>
  <si>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</si>
  <si>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</si>
  <si>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</si>
  <si>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</si>
  <si>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</si>
  <si>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</si>
  <si>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</si>
  <si>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</si>
  <si>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</si>
  <si>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</si>
  <si>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</si>
  <si>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</si>
  <si>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</si>
  <si>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</si>
  <si>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</si>
  <si>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</si>
  <si>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</si>
  <si>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</si>
  <si>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</si>
  <si>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</si>
  <si>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</si>
  <si>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</si>
  <si>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</si>
  <si>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</si>
  <si>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</si>
  <si>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</si>
  <si>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</si>
  <si>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</si>
  <si>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</si>
  <si>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</si>
  <si>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</si>
  <si>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</si>
  <si>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</si>
  <si>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</si>
  <si>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</si>
  <si>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</si>
  <si>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</si>
  <si>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</si>
  <si>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</si>
  <si>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</si>
  <si>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</si>
  <si>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</si>
  <si>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</si>
  <si>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</si>
  <si>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</si>
  <si>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</si>
  <si>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</si>
  <si>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</si>
  <si>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</si>
  <si>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</si>
  <si>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</si>
  <si>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</si>
  <si>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</si>
  <si>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</si>
  <si>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</si>
  <si>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</si>
  <si>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</si>
  <si>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</si>
  <si>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</si>
  <si>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</si>
  <si>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</si>
  <si>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</si>
  <si>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</si>
  <si>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</si>
  <si>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</si>
  <si>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</si>
  <si>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</si>
  <si>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</si>
  <si>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</si>
  <si>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</si>
  <si>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</si>
  <si>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</si>
  <si>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</si>
  <si>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</si>
  <si>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</si>
  <si>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</si>
  <si>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</si>
  <si>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</si>
  <si>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</si>
  <si>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</si>
  <si>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</si>
  <si>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</si>
  <si>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</si>
  <si>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</si>
  <si>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</si>
  <si>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</si>
  <si>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</si>
  <si>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</si>
  <si>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</si>
  <si>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</si>
  <si>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</si>
  <si>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</si>
  <si>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</si>
  <si>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</si>
  <si>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</si>
  <si>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</si>
  <si>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</si>
  <si>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</si>
  <si>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</si>
  <si>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</si>
  <si>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</si>
  <si>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</si>
  <si>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</si>
  <si>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</si>
  <si>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</si>
  <si>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</si>
  <si>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</si>
  <si>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</si>
  <si>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</si>
  <si>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</si>
  <si>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</si>
  <si>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</si>
  <si>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</si>
  <si>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</si>
  <si>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</si>
  <si>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</si>
  <si>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</si>
  <si>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</si>
  <si>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</si>
  <si>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</si>
  <si>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</si>
  <si>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</si>
  <si>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</si>
  <si>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</si>
  <si>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</si>
  <si>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</si>
  <si>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</si>
  <si>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</si>
  <si>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</si>
  <si>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</si>
  <si>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</si>
  <si>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</si>
  <si>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</si>
  <si>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</si>
  <si>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</si>
  <si>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</si>
  <si>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</si>
  <si>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</si>
  <si>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</si>
  <si>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</si>
  <si>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</si>
  <si>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</si>
  <si>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</si>
  <si>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</si>
  <si>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</si>
  <si>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</si>
  <si>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</si>
  <si>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</si>
  <si>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</si>
  <si>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</si>
  <si>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</si>
  <si>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</si>
  <si>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</si>
  <si>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</si>
  <si>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</si>
  <si>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</si>
  <si>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</si>
  <si>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</si>
  <si>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</si>
  <si>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</si>
  <si>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</si>
  <si>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</si>
  <si>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</si>
  <si>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</si>
  <si>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</si>
  <si>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</si>
  <si>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</si>
  <si>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</si>
  <si>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</si>
  <si>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</si>
  <si>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</si>
  <si>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</si>
  <si>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</si>
  <si>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</si>
  <si>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</si>
  <si>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</si>
  <si>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</si>
  <si>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</si>
  <si>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</si>
  <si>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</si>
  <si>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</si>
  <si>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</si>
  <si>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</si>
  <si>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</si>
  <si>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</si>
  <si>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</si>
  <si>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</si>
  <si>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</si>
  <si>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</si>
  <si>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</si>
  <si>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</si>
  <si>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</si>
  <si>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</si>
  <si>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</si>
  <si>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</si>
  <si>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</si>
  <si>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</si>
  <si>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</si>
  <si>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</si>
  <si>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</si>
  <si>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</si>
  <si>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</si>
  <si>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</si>
  <si>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</si>
  <si>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</si>
  <si>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</si>
  <si>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</si>
  <si>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</si>
  <si>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</si>
  <si>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</si>
  <si>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</si>
  <si>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</si>
  <si>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</si>
  <si>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</si>
  <si>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</si>
  <si>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</si>
  <si>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</si>
  <si>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</si>
  <si>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</si>
  <si>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</si>
  <si>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</si>
  <si>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</si>
  <si>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</si>
  <si>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</si>
  <si>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</si>
  <si>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</si>
  <si>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</si>
  <si>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</si>
  <si>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</si>
  <si>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</si>
  <si>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</si>
  <si>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</si>
  <si>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</si>
  <si>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</si>
  <si>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</si>
  <si>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</si>
  <si>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</si>
  <si>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</si>
  <si>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</si>
  <si>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</si>
  <si>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</si>
  <si>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</si>
  <si>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</si>
  <si>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</si>
  <si>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</si>
  <si>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</si>
  <si>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</si>
  <si>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</si>
  <si>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</si>
  <si>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Energieversorgung Guben GmbH</t>
  </si>
  <si>
    <t>Gasstraße 11</t>
  </si>
  <si>
    <t>Guben</t>
  </si>
  <si>
    <t>Christian Walter</t>
  </si>
  <si>
    <t>walter@ev-guben.de</t>
  </si>
  <si>
    <t>03561 / 508147</t>
  </si>
  <si>
    <t>9870087800009</t>
  </si>
  <si>
    <t>GASPOOLNH7008781</t>
  </si>
  <si>
    <t>DE_GBD04</t>
  </si>
  <si>
    <t>DE_GBA04</t>
  </si>
  <si>
    <t>DE_GBH04</t>
  </si>
  <si>
    <t>DE_GKO04</t>
  </si>
  <si>
    <t>DE_GGB04</t>
  </si>
  <si>
    <t>DE_GGA04</t>
  </si>
  <si>
    <t>DE_GHA04</t>
  </si>
  <si>
    <t>DE_GMF04</t>
  </si>
  <si>
    <t>DE_GMK04</t>
  </si>
  <si>
    <t>DE_GPD04</t>
  </si>
  <si>
    <t>DE_GWA04</t>
  </si>
  <si>
    <t>Wetterstation Guben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</si>
</sst>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42248</v>
      </c>
      <c r="E29" s="8"/>
      <c r="F29" s="8"/>
      <c r="G29" s="8"/>
      <c r="H29" s="8"/>
    </row>
    <row r="30" spans="2:12">
      <c r="B30" s="21" t="s">
        <v>348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42277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662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657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3172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659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661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396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Guben</v>
      </c>
      <c r="E28" s="38"/>
      <c r="F28" s="11"/>
      <c r="G28" s="2"/>
    </row>
    <row r="29" spans="1:15">
      <c r="B29" s="15"/>
      <c r="C29" s="22" t="s">
        <v>396</v>
      </c>
      <c r="D29" s="45" t="s">
        <v>658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420</v>
      </c>
      <c r="D31" s="46"/>
      <c r="E31" s="40"/>
      <c r="F31" s="47"/>
      <c r="G31" s="2"/>
    </row>
    <row r="32" spans="1:15">
      <c r="B32" s="15"/>
      <c r="C32" s="22" t="s">
        <v>421</v>
      </c>
      <c r="D32" s="46"/>
      <c r="E32" s="40"/>
      <c r="F32" s="47"/>
      <c r="G32" s="2"/>
    </row>
    <row r="33" spans="2:7">
      <c r="B33" s="15"/>
      <c r="C33" s="22" t="s">
        <v>422</v>
      </c>
      <c r="D33" s="45"/>
      <c r="E33" s="40"/>
      <c r="F33" s="47"/>
      <c r="G33" s="2"/>
    </row>
    <row r="34" spans="2:7">
      <c r="B34" s="15"/>
      <c r="C34" s="22" t="s">
        <v>423</v>
      </c>
      <c r="D34" s="46"/>
      <c r="E34" s="40"/>
      <c r="F34" s="47"/>
      <c r="G34" s="2"/>
    </row>
    <row r="35" spans="2:7">
      <c r="B35" s="15"/>
      <c r="C35" s="22" t="s">
        <v>424</v>
      </c>
      <c r="D35" s="46"/>
      <c r="E35" s="40"/>
      <c r="F35" s="47"/>
      <c r="G35" s="2"/>
    </row>
    <row r="36" spans="2:7">
      <c r="B36" s="15"/>
      <c r="C36" s="22" t="s">
        <v>425</v>
      </c>
      <c r="D36" s="46"/>
      <c r="E36" s="40"/>
      <c r="F36" s="47"/>
      <c r="G36" s="2"/>
    </row>
    <row r="37" spans="2:7">
      <c r="B37" s="15"/>
      <c r="C37" s="22" t="s">
        <v>426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18" sqref="D1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Energieversorgung Guben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Guben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9870087800009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259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337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663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369</v>
      </c>
      <c r="D18" s="49" t="s">
        <v>135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 zeitnah ermittelter Netzustand bestimmt Höhe der täglichen Allokation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SLPana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371</v>
      </c>
      <c r="C26" s="6" t="s">
        <v>573</v>
      </c>
      <c r="D26" s="42" t="s">
        <v>134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366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367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658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16" zoomScale="70" zoomScaleNormal="70" workbookViewId="0">
      <selection activeCell="E66" sqref="E6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Energieversorgung Guben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Guben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9870087800009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Guben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675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tr">
        <f>"09498"</f>
        <v>09498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452</v>
      </c>
      <c r="H36" s="161" t="s">
        <v>452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Wetterstation Guben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09498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452</v>
      </c>
      <c r="F70" s="162" t="s">
        <v>452</v>
      </c>
      <c r="G70" s="162" t="str">
        <f t="shared" ref="G70:N70" si="17">G36</f>
        <v>Temp.-Prog.</v>
      </c>
      <c r="H70" s="162" t="str">
        <f t="shared" si="17"/>
        <v>Temp.-Prog.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F36 E26:N26 E56:N60 E22:F22 I22:N22 F52 F62 G24:N24 G70:N70 E32:N34 E69:N69 F25:N25 I36:N3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Energieversorgung Guben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Guben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9870087800009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388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371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364</v>
      </c>
      <c r="F25" s="159" t="s">
        <v>364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362</v>
      </c>
      <c r="D33" s="152" t="s">
        <v>361</v>
      </c>
      <c r="E33" s="155" t="s">
        <v>3</v>
      </c>
      <c r="F33" s="155" t="s">
        <v>360</v>
      </c>
      <c r="G33" s="155" t="s">
        <v>351</v>
      </c>
      <c r="H33" s="155" t="s">
        <v>352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350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363</v>
      </c>
      <c r="K46" s="196"/>
      <c r="L46" s="196"/>
      <c r="M46" s="196"/>
      <c r="N46" s="196"/>
      <c r="O46" s="197"/>
    </row>
    <row r="47" spans="2:28">
      <c r="B47" s="191"/>
      <c r="C47" s="198" t="s">
        <v>349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363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362</v>
      </c>
      <c r="D67" s="152" t="s">
        <v>361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80" zoomScaleNormal="80" workbookViewId="0">
      <selection activeCell="Y11" sqref="Y1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365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370</v>
      </c>
      <c r="D5" s="54" t="str">
        <f>Netzbetreiber!$D$9</f>
        <v>Energieversorgung Guben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338</v>
      </c>
      <c r="D6" s="54" t="str">
        <f>Netzbetreiber!$D$28</f>
        <v>Guben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9870087800009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664</v>
      </c>
      <c r="F11" s="295" t="str">
        <f>VLOOKUP($E11,'BDEW-Standard'!$B$3:$M$158,F$9,0)</f>
        <v>BD4</v>
      </c>
      <c r="H11" s="166">
        <f>ROUND(VLOOKUP($E11,'BDEW-Standard'!$B$3:$M$158,H$9,0),7)</f>
        <v>3.75</v>
      </c>
      <c r="I11" s="166">
        <f>ROUND(VLOOKUP($E11,'BDEW-Standard'!$B$3:$M$158,I$9,0),7)</f>
        <v>-37.5</v>
      </c>
      <c r="J11" s="166">
        <f>ROUND(VLOOKUP($E11,'BDEW-Standard'!$B$3:$M$158,J$9,0),7)</f>
        <v>6.8</v>
      </c>
      <c r="K11" s="166">
        <f>ROUND(VLOOKUP($E11,'BDEW-Standard'!$B$3:$M$158,K$9,0),7)</f>
        <v>6.0911300000000002E-2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1.0126136468627658</v>
      </c>
      <c r="R11" s="167">
        <f>ROUND(VLOOKUP(MID($E11,4,3),'Wochentag F(WT)'!$B$7:$J$22,R$9,0),4)</f>
        <v>1.1052</v>
      </c>
      <c r="S11" s="167">
        <f>ROUND(VLOOKUP(MID($E11,4,3),'Wochentag F(WT)'!$B$7:$J$22,S$9,0),4)</f>
        <v>1.0857000000000001</v>
      </c>
      <c r="T11" s="167">
        <f>ROUND(VLOOKUP(MID($E11,4,3),'Wochentag F(WT)'!$B$7:$J$22,T$9,0),4)</f>
        <v>1.0378000000000001</v>
      </c>
      <c r="U11" s="167">
        <f>ROUND(VLOOKUP(MID($E11,4,3),'Wochentag F(WT)'!$B$7:$J$22,U$9,0),4)</f>
        <v>1.0622</v>
      </c>
      <c r="V11" s="167">
        <f>ROUND(VLOOKUP(MID($E11,4,3),'Wochentag F(WT)'!$B$7:$J$22,V$9,0),4)</f>
        <v>1.0266</v>
      </c>
      <c r="W11" s="167">
        <f>ROUND(VLOOKUP(MID($E11,4,3),'Wochentag F(WT)'!$B$7:$J$22,W$9,0),4)</f>
        <v>0.76290000000000002</v>
      </c>
      <c r="X11" s="168">
        <f>7-SUM(R11:W11)</f>
        <v>0.91959999999999997</v>
      </c>
      <c r="Y11" s="291">
        <v>365.12299999999999</v>
      </c>
    </row>
    <row r="12" spans="2:26">
      <c r="B12" s="140">
        <v>1</v>
      </c>
      <c r="C12" s="141" t="str">
        <f t="shared" ref="C12:C41" si="0">$D$6</f>
        <v>Guben</v>
      </c>
      <c r="D12" s="62" t="s">
        <v>247</v>
      </c>
      <c r="E12" s="164" t="s">
        <v>665</v>
      </c>
      <c r="F12" s="296" t="str">
        <f>VLOOKUP($E12,'BDEW-Standard'!$B$3:$M$158,F$9,0)</f>
        <v>BA4</v>
      </c>
      <c r="H12" s="273">
        <f>ROUND(VLOOKUP($E12,'BDEW-Standard'!$B$3:$M$158,H$9,0),7)</f>
        <v>0.93158890000000005</v>
      </c>
      <c r="I12" s="273">
        <f>ROUND(VLOOKUP($E12,'BDEW-Standard'!$B$3:$M$158,I$9,0),7)</f>
        <v>-33.35</v>
      </c>
      <c r="J12" s="273">
        <f>ROUND(VLOOKUP($E12,'BDEW-Standard'!$B$3:$M$158,J$9,0),7)</f>
        <v>5.7212303000000002</v>
      </c>
      <c r="K12" s="273">
        <f>ROUND(VLOOKUP($E12,'BDEW-Standard'!$B$3:$M$158,K$9,0),7)</f>
        <v>0.66564939999999995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1.0766391850538448</v>
      </c>
      <c r="R12" s="274">
        <f>ROUND(VLOOKUP(MID($E12,4,3),'Wochentag F(WT)'!$B$7:$J$22,R$9,0),4)</f>
        <v>1.0848</v>
      </c>
      <c r="S12" s="274">
        <f>ROUND(VLOOKUP(MID($E12,4,3),'Wochentag F(WT)'!$B$7:$J$22,S$9,0),4)</f>
        <v>1.1211</v>
      </c>
      <c r="T12" s="274">
        <f>ROUND(VLOOKUP(MID($E12,4,3),'Wochentag F(WT)'!$B$7:$J$22,T$9,0),4)</f>
        <v>1.0769</v>
      </c>
      <c r="U12" s="274">
        <f>ROUND(VLOOKUP(MID($E12,4,3),'Wochentag F(WT)'!$B$7:$J$22,U$9,0),4)</f>
        <v>1.1353</v>
      </c>
      <c r="V12" s="274">
        <f>ROUND(VLOOKUP(MID($E12,4,3),'Wochentag F(WT)'!$B$7:$J$22,V$9,0),4)</f>
        <v>1.1402000000000001</v>
      </c>
      <c r="W12" s="274">
        <f>ROUND(VLOOKUP(MID($E12,4,3),'Wochentag F(WT)'!$B$7:$J$22,W$9,0),4)</f>
        <v>0.48520000000000002</v>
      </c>
      <c r="X12" s="275">
        <f>7-SUM(R12:W12)</f>
        <v>0.95650000000000013</v>
      </c>
      <c r="Y12" s="292"/>
      <c r="Z12" s="210"/>
    </row>
    <row r="13" spans="2:26" s="142" customFormat="1">
      <c r="B13" s="143">
        <v>2</v>
      </c>
      <c r="C13" s="144" t="str">
        <f t="shared" si="0"/>
        <v>Guben</v>
      </c>
      <c r="D13" s="62" t="s">
        <v>247</v>
      </c>
      <c r="E13" s="164" t="s">
        <v>666</v>
      </c>
      <c r="F13" s="296" t="str">
        <f>VLOOKUP($E13,'BDEW-Standard'!$B$3:$M$158,F$9,0)</f>
        <v>BH4</v>
      </c>
      <c r="H13" s="273">
        <f>ROUND(VLOOKUP($E13,'BDEW-Standard'!$B$3:$M$158,H$9,0),7)</f>
        <v>2.4595180999999999</v>
      </c>
      <c r="I13" s="273">
        <f>ROUND(VLOOKUP($E13,'BDEW-Standard'!$B$3:$M$158,I$9,0),7)</f>
        <v>-35.253212400000002</v>
      </c>
      <c r="J13" s="273">
        <f>ROUND(VLOOKUP($E13,'BDEW-Standard'!$B$3:$M$158,J$9,0),7)</f>
        <v>6.0587001000000003</v>
      </c>
      <c r="K13" s="273">
        <f>ROUND(VLOOKUP($E13,'BDEW-Standard'!$B$3:$M$158,K$9,0),7)</f>
        <v>0.16473699999999999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1.043802057143173</v>
      </c>
      <c r="R13" s="274">
        <f>ROUND(VLOOKUP(MID($E13,4,3),'Wochentag F(WT)'!$B$7:$J$22,R$9,0),4)</f>
        <v>0.97670000000000001</v>
      </c>
      <c r="S13" s="274">
        <f>ROUND(VLOOKUP(MID($E13,4,3),'Wochentag F(WT)'!$B$7:$J$22,S$9,0),4)</f>
        <v>1.0388999999999999</v>
      </c>
      <c r="T13" s="274">
        <f>ROUND(VLOOKUP(MID($E13,4,3),'Wochentag F(WT)'!$B$7:$J$22,T$9,0),4)</f>
        <v>1.0027999999999999</v>
      </c>
      <c r="U13" s="274">
        <f>ROUND(VLOOKUP(MID($E13,4,3),'Wochentag F(WT)'!$B$7:$J$22,U$9,0),4)</f>
        <v>1.0162</v>
      </c>
      <c r="V13" s="274">
        <f>ROUND(VLOOKUP(MID($E13,4,3),'Wochentag F(WT)'!$B$7:$J$22,V$9,0),4)</f>
        <v>1.0024</v>
      </c>
      <c r="W13" s="274">
        <f>ROUND(VLOOKUP(MID($E13,4,3),'Wochentag F(WT)'!$B$7:$J$22,W$9,0),4)</f>
        <v>1.0043</v>
      </c>
      <c r="X13" s="275">
        <f t="shared" ref="X13:X25" si="2">7-SUM(R13:W13)</f>
        <v>0.95870000000000122</v>
      </c>
      <c r="Y13" s="292"/>
      <c r="Z13" s="210"/>
    </row>
    <row r="14" spans="2:26" s="142" customFormat="1">
      <c r="B14" s="143">
        <v>3</v>
      </c>
      <c r="C14" s="144" t="str">
        <f t="shared" si="0"/>
        <v>Guben</v>
      </c>
      <c r="D14" s="62" t="s">
        <v>247</v>
      </c>
      <c r="E14" s="164" t="s">
        <v>667</v>
      </c>
      <c r="F14" s="296" t="str">
        <f>VLOOKUP($E14,'BDEW-Standard'!$B$3:$M$158,F$9,0)</f>
        <v>KO4</v>
      </c>
      <c r="H14" s="273">
        <f>ROUND(VLOOKUP($E14,'BDEW-Standard'!$B$3:$M$158,H$9,0),7)</f>
        <v>3.4428942999999999</v>
      </c>
      <c r="I14" s="273">
        <f>ROUND(VLOOKUP($E14,'BDEW-Standard'!$B$3:$M$158,I$9,0),7)</f>
        <v>-36.659050399999998</v>
      </c>
      <c r="J14" s="273">
        <f>ROUND(VLOOKUP($E14,'BDEW-Standard'!$B$3:$M$158,J$9,0),7)</f>
        <v>7.6083226000000002</v>
      </c>
      <c r="K14" s="273">
        <f>ROUND(VLOOKUP($E14,'BDEW-Standard'!$B$3:$M$158,K$9,0),7)</f>
        <v>7.4685000000000001E-2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0.97768382110526542</v>
      </c>
      <c r="R14" s="274">
        <f>ROUND(VLOOKUP(MID($E14,4,3),'Wochentag F(WT)'!$B$7:$J$22,R$9,0),4)</f>
        <v>1.0354000000000001</v>
      </c>
      <c r="S14" s="274">
        <f>ROUND(VLOOKUP(MID($E14,4,3),'Wochentag F(WT)'!$B$7:$J$22,S$9,0),4)</f>
        <v>1.0523</v>
      </c>
      <c r="T14" s="274">
        <f>ROUND(VLOOKUP(MID($E14,4,3),'Wochentag F(WT)'!$B$7:$J$22,T$9,0),4)</f>
        <v>1.0448999999999999</v>
      </c>
      <c r="U14" s="274">
        <f>ROUND(VLOOKUP(MID($E14,4,3),'Wochentag F(WT)'!$B$7:$J$22,U$9,0),4)</f>
        <v>1.0494000000000001</v>
      </c>
      <c r="V14" s="274">
        <f>ROUND(VLOOKUP(MID($E14,4,3),'Wochentag F(WT)'!$B$7:$J$22,V$9,0),4)</f>
        <v>0.98850000000000005</v>
      </c>
      <c r="W14" s="274">
        <f>ROUND(VLOOKUP(MID($E14,4,3),'Wochentag F(WT)'!$B$7:$J$22,W$9,0),4)</f>
        <v>0.88600000000000001</v>
      </c>
      <c r="X14" s="275">
        <f t="shared" si="2"/>
        <v>0.94349999999999934</v>
      </c>
      <c r="Y14" s="292"/>
      <c r="Z14" s="210"/>
    </row>
    <row r="15" spans="2:26" s="142" customFormat="1">
      <c r="B15" s="143">
        <v>4</v>
      </c>
      <c r="C15" s="144" t="str">
        <f t="shared" si="0"/>
        <v>Guben</v>
      </c>
      <c r="D15" s="62" t="s">
        <v>247</v>
      </c>
      <c r="E15" s="164" t="s">
        <v>55</v>
      </c>
      <c r="F15" s="296" t="str">
        <f>VLOOKUP($E15,'BDEW-Standard'!$B$3:$M$158,F$9,0)</f>
        <v>R14</v>
      </c>
      <c r="H15" s="273">
        <f>ROUND(VLOOKUP($E15,'BDEW-Standard'!$B$3:$M$158,H$9,0),7)</f>
        <v>3.159294</v>
      </c>
      <c r="I15" s="273">
        <f>ROUND(VLOOKUP($E15,'BDEW-Standard'!$B$3:$M$158,I$9,0),7)</f>
        <v>-37.406886</v>
      </c>
      <c r="J15" s="273">
        <f>ROUND(VLOOKUP($E15,'BDEW-Standard'!$B$3:$M$158,J$9,0),7)</f>
        <v>6.1418926000000003</v>
      </c>
      <c r="K15" s="273">
        <f>ROUND(VLOOKUP($E15,'BDEW-Standard'!$B$3:$M$158,K$9,0),7)</f>
        <v>9.2266100000000004E-2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0.96772350224521153</v>
      </c>
      <c r="R15" s="274">
        <f>ROUND(VLOOKUP(MID($E15,4,3),'Wochentag F(WT)'!$B$7:$J$22,R$9,0),4)</f>
        <v>1</v>
      </c>
      <c r="S15" s="274">
        <f>ROUND(VLOOKUP(MID($E15,4,3),'Wochentag F(WT)'!$B$7:$J$22,S$9,0),4)</f>
        <v>1</v>
      </c>
      <c r="T15" s="274">
        <f>ROUND(VLOOKUP(MID($E15,4,3),'Wochentag F(WT)'!$B$7:$J$22,T$9,0),4)</f>
        <v>1</v>
      </c>
      <c r="U15" s="274">
        <f>ROUND(VLOOKUP(MID($E15,4,3),'Wochentag F(WT)'!$B$7:$J$22,U$9,0),4)</f>
        <v>1</v>
      </c>
      <c r="V15" s="274">
        <f>ROUND(VLOOKUP(MID($E15,4,3),'Wochentag F(WT)'!$B$7:$J$22,V$9,0),4)</f>
        <v>1</v>
      </c>
      <c r="W15" s="274">
        <f>ROUND(VLOOKUP(MID($E15,4,3),'Wochentag F(WT)'!$B$7:$J$22,W$9,0),4)</f>
        <v>1</v>
      </c>
      <c r="X15" s="275">
        <f t="shared" si="2"/>
        <v>1</v>
      </c>
      <c r="Y15" s="292"/>
      <c r="Z15" s="210"/>
    </row>
    <row r="16" spans="2:26" s="142" customFormat="1">
      <c r="B16" s="143">
        <v>5</v>
      </c>
      <c r="C16" s="144" t="str">
        <f t="shared" si="0"/>
        <v>Guben</v>
      </c>
      <c r="D16" s="62" t="s">
        <v>247</v>
      </c>
      <c r="E16" s="164" t="s">
        <v>668</v>
      </c>
      <c r="F16" s="296" t="str">
        <f>VLOOKUP($E16,'BDEW-Standard'!$B$3:$M$158,F$9,0)</f>
        <v>GB4</v>
      </c>
      <c r="H16" s="273">
        <f>ROUND(VLOOKUP($E16,'BDEW-Standard'!$B$3:$M$158,H$9,0),7)</f>
        <v>3.6017736</v>
      </c>
      <c r="I16" s="273">
        <f>ROUND(VLOOKUP($E16,'BDEW-Standard'!$B$3:$M$158,I$9,0),7)</f>
        <v>-37.882536799999997</v>
      </c>
      <c r="J16" s="273">
        <f>ROUND(VLOOKUP($E16,'BDEW-Standard'!$B$3:$M$158,J$9,0),7)</f>
        <v>6.9836070000000001</v>
      </c>
      <c r="K16" s="273">
        <f>ROUND(VLOOKUP($E16,'BDEW-Standard'!$B$3:$M$158,K$9,0),7)</f>
        <v>5.4826199999999999E-2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0.90239375975311864</v>
      </c>
      <c r="R16" s="274">
        <f>ROUND(VLOOKUP(MID($E16,4,3),'Wochentag F(WT)'!$B$7:$J$22,R$9,0),4)</f>
        <v>0.98970000000000002</v>
      </c>
      <c r="S16" s="274">
        <f>ROUND(VLOOKUP(MID($E16,4,3),'Wochentag F(WT)'!$B$7:$J$22,S$9,0),4)</f>
        <v>0.9627</v>
      </c>
      <c r="T16" s="274">
        <f>ROUND(VLOOKUP(MID($E16,4,3),'Wochentag F(WT)'!$B$7:$J$22,T$9,0),4)</f>
        <v>1.0507</v>
      </c>
      <c r="U16" s="274">
        <f>ROUND(VLOOKUP(MID($E16,4,3),'Wochentag F(WT)'!$B$7:$J$22,U$9,0),4)</f>
        <v>1.0551999999999999</v>
      </c>
      <c r="V16" s="274">
        <f>ROUND(VLOOKUP(MID($E16,4,3),'Wochentag F(WT)'!$B$7:$J$22,V$9,0),4)</f>
        <v>1.0297000000000001</v>
      </c>
      <c r="W16" s="274">
        <f>ROUND(VLOOKUP(MID($E16,4,3),'Wochentag F(WT)'!$B$7:$J$22,W$9,0),4)</f>
        <v>0.97670000000000001</v>
      </c>
      <c r="X16" s="275">
        <f t="shared" si="2"/>
        <v>0.9352999999999998</v>
      </c>
      <c r="Y16" s="292"/>
      <c r="Z16" s="210"/>
    </row>
    <row r="17" spans="2:26" s="142" customFormat="1">
      <c r="B17" s="143">
        <v>6</v>
      </c>
      <c r="C17" s="144" t="str">
        <f t="shared" si="0"/>
        <v>Guben</v>
      </c>
      <c r="D17" s="62" t="s">
        <v>247</v>
      </c>
      <c r="E17" s="164" t="s">
        <v>669</v>
      </c>
      <c r="F17" s="296" t="str">
        <f>VLOOKUP($E17,'BDEW-Standard'!$B$3:$M$158,F$9,0)</f>
        <v>GA4</v>
      </c>
      <c r="H17" s="273">
        <f>ROUND(VLOOKUP($E17,'BDEW-Standard'!$B$3:$M$158,H$9,0),7)</f>
        <v>2.8195655999999998</v>
      </c>
      <c r="I17" s="273">
        <f>ROUND(VLOOKUP($E17,'BDEW-Standard'!$B$3:$M$158,I$9,0),7)</f>
        <v>-36</v>
      </c>
      <c r="J17" s="273">
        <f>ROUND(VLOOKUP($E17,'BDEW-Standard'!$B$3:$M$158,J$9,0),7)</f>
        <v>7.7368518000000002</v>
      </c>
      <c r="K17" s="273">
        <f>ROUND(VLOOKUP($E17,'BDEW-Standard'!$B$3:$M$158,K$9,0),7)</f>
        <v>0.157281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0.96576337685759206</v>
      </c>
      <c r="R17" s="274">
        <f>ROUND(VLOOKUP(MID($E17,4,3),'Wochentag F(WT)'!$B$7:$J$22,R$9,0),4)</f>
        <v>0.93220000000000003</v>
      </c>
      <c r="S17" s="274">
        <f>ROUND(VLOOKUP(MID($E17,4,3),'Wochentag F(WT)'!$B$7:$J$22,S$9,0),4)</f>
        <v>0.98939999999999995</v>
      </c>
      <c r="T17" s="274">
        <f>ROUND(VLOOKUP(MID($E17,4,3),'Wochentag F(WT)'!$B$7:$J$22,T$9,0),4)</f>
        <v>1.0033000000000001</v>
      </c>
      <c r="U17" s="274">
        <f>ROUND(VLOOKUP(MID($E17,4,3),'Wochentag F(WT)'!$B$7:$J$22,U$9,0),4)</f>
        <v>1.0108999999999999</v>
      </c>
      <c r="V17" s="274">
        <f>ROUND(VLOOKUP(MID($E17,4,3),'Wochentag F(WT)'!$B$7:$J$22,V$9,0),4)</f>
        <v>1.018</v>
      </c>
      <c r="W17" s="274">
        <f>ROUND(VLOOKUP(MID($E17,4,3),'Wochentag F(WT)'!$B$7:$J$22,W$9,0),4)</f>
        <v>1.0356000000000001</v>
      </c>
      <c r="X17" s="275">
        <f t="shared" si="2"/>
        <v>1.0106000000000002</v>
      </c>
      <c r="Y17" s="292"/>
      <c r="Z17" s="210"/>
    </row>
    <row r="18" spans="2:26" s="142" customFormat="1">
      <c r="B18" s="143">
        <v>7</v>
      </c>
      <c r="C18" s="144" t="str">
        <f t="shared" si="0"/>
        <v>Guben</v>
      </c>
      <c r="D18" s="62" t="s">
        <v>247</v>
      </c>
      <c r="E18" s="164" t="s">
        <v>670</v>
      </c>
      <c r="F18" s="296" t="str">
        <f>VLOOKUP($E18,'BDEW-Standard'!$B$3:$M$158,F$9,0)</f>
        <v>HA4</v>
      </c>
      <c r="H18" s="273">
        <f>ROUND(VLOOKUP($E18,'BDEW-Standard'!$B$3:$M$158,H$9,0),7)</f>
        <v>4.0196902000000003</v>
      </c>
      <c r="I18" s="273">
        <f>ROUND(VLOOKUP($E18,'BDEW-Standard'!$B$3:$M$158,I$9,0),7)</f>
        <v>-37.828203700000003</v>
      </c>
      <c r="J18" s="273">
        <f>ROUND(VLOOKUP($E18,'BDEW-Standard'!$B$3:$M$158,J$9,0),7)</f>
        <v>8.1593368999999996</v>
      </c>
      <c r="K18" s="273">
        <f>ROUND(VLOOKUP($E18,'BDEW-Standard'!$B$3:$M$158,K$9,0),7)</f>
        <v>4.72845E-2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0.86486713303260787</v>
      </c>
      <c r="R18" s="274">
        <f>ROUND(VLOOKUP(MID($E18,4,3),'Wochentag F(WT)'!$B$7:$J$22,R$9,0),4)</f>
        <v>1.0358000000000001</v>
      </c>
      <c r="S18" s="274">
        <f>ROUND(VLOOKUP(MID($E18,4,3),'Wochentag F(WT)'!$B$7:$J$22,S$9,0),4)</f>
        <v>1.0232000000000001</v>
      </c>
      <c r="T18" s="274">
        <f>ROUND(VLOOKUP(MID($E18,4,3),'Wochentag F(WT)'!$B$7:$J$22,T$9,0),4)</f>
        <v>1.0251999999999999</v>
      </c>
      <c r="U18" s="274">
        <f>ROUND(VLOOKUP(MID($E18,4,3),'Wochentag F(WT)'!$B$7:$J$22,U$9,0),4)</f>
        <v>1.0295000000000001</v>
      </c>
      <c r="V18" s="274">
        <f>ROUND(VLOOKUP(MID($E18,4,3),'Wochentag F(WT)'!$B$7:$J$22,V$9,0),4)</f>
        <v>1.0253000000000001</v>
      </c>
      <c r="W18" s="274">
        <f>ROUND(VLOOKUP(MID($E18,4,3),'Wochentag F(WT)'!$B$7:$J$22,W$9,0),4)</f>
        <v>0.96750000000000003</v>
      </c>
      <c r="X18" s="275">
        <f t="shared" si="2"/>
        <v>0.89350000000000041</v>
      </c>
      <c r="Y18" s="292"/>
      <c r="Z18" s="210"/>
    </row>
    <row r="19" spans="2:26" s="142" customFormat="1">
      <c r="B19" s="143">
        <v>8</v>
      </c>
      <c r="C19" s="144" t="str">
        <f t="shared" si="0"/>
        <v>Guben</v>
      </c>
      <c r="D19" s="62" t="s">
        <v>247</v>
      </c>
      <c r="E19" s="164" t="s">
        <v>671</v>
      </c>
      <c r="F19" s="296" t="str">
        <f>VLOOKUP($E19,'BDEW-Standard'!$B$3:$M$158,F$9,0)</f>
        <v>MF4</v>
      </c>
      <c r="H19" s="273">
        <f>ROUND(VLOOKUP($E19,'BDEW-Standard'!$B$3:$M$158,H$9,0),7)</f>
        <v>2.5187775000000001</v>
      </c>
      <c r="I19" s="273">
        <f>ROUND(VLOOKUP($E19,'BDEW-Standard'!$B$3:$M$158,I$9,0),7)</f>
        <v>-35.033375399999997</v>
      </c>
      <c r="J19" s="273">
        <f>ROUND(VLOOKUP($E19,'BDEW-Standard'!$B$3:$M$158,J$9,0),7)</f>
        <v>6.2240634000000004</v>
      </c>
      <c r="K19" s="273">
        <f>ROUND(VLOOKUP($E19,'BDEW-Standard'!$B$3:$M$158,K$9,0),7)</f>
        <v>0.10107820000000001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1.0146273685996503</v>
      </c>
      <c r="R19" s="274">
        <f>ROUND(VLOOKUP(MID($E19,4,3),'Wochentag F(WT)'!$B$7:$J$22,R$9,0),4)</f>
        <v>1.0354000000000001</v>
      </c>
      <c r="S19" s="274">
        <f>ROUND(VLOOKUP(MID($E19,4,3),'Wochentag F(WT)'!$B$7:$J$22,S$9,0),4)</f>
        <v>1.0523</v>
      </c>
      <c r="T19" s="274">
        <f>ROUND(VLOOKUP(MID($E19,4,3),'Wochentag F(WT)'!$B$7:$J$22,T$9,0),4)</f>
        <v>1.0448999999999999</v>
      </c>
      <c r="U19" s="274">
        <f>ROUND(VLOOKUP(MID($E19,4,3),'Wochentag F(WT)'!$B$7:$J$22,U$9,0),4)</f>
        <v>1.0494000000000001</v>
      </c>
      <c r="V19" s="274">
        <f>ROUND(VLOOKUP(MID($E19,4,3),'Wochentag F(WT)'!$B$7:$J$22,V$9,0),4)</f>
        <v>0.98850000000000005</v>
      </c>
      <c r="W19" s="274">
        <f>ROUND(VLOOKUP(MID($E19,4,3),'Wochentag F(WT)'!$B$7:$J$22,W$9,0),4)</f>
        <v>0.88600000000000001</v>
      </c>
      <c r="X19" s="275">
        <f t="shared" si="2"/>
        <v>0.94349999999999934</v>
      </c>
      <c r="Y19" s="292"/>
      <c r="Z19" s="210"/>
    </row>
    <row r="20" spans="2:26" s="142" customFormat="1">
      <c r="B20" s="143">
        <v>9</v>
      </c>
      <c r="C20" s="144" t="str">
        <f t="shared" si="0"/>
        <v>Guben</v>
      </c>
      <c r="D20" s="62" t="s">
        <v>247</v>
      </c>
      <c r="E20" s="164" t="s">
        <v>4</v>
      </c>
      <c r="F20" s="296" t="str">
        <f>VLOOKUP($E20,'BDEW-Standard'!$B$3:$M$158,F$9,0)</f>
        <v>HK3</v>
      </c>
      <c r="H20" s="273">
        <f>ROUND(VLOOKUP($E20,'BDEW-Standard'!$B$3:$M$158,H$9,0),7)</f>
        <v>0.40409319999999999</v>
      </c>
      <c r="I20" s="273">
        <f>ROUND(VLOOKUP($E20,'BDEW-Standard'!$B$3:$M$158,I$9,0),7)</f>
        <v>-24.439296800000001</v>
      </c>
      <c r="J20" s="273">
        <f>ROUND(VLOOKUP($E20,'BDEW-Standard'!$B$3:$M$158,J$9,0),7)</f>
        <v>6.5718174999999999</v>
      </c>
      <c r="K20" s="273">
        <f>ROUND(VLOOKUP($E20,'BDEW-Standard'!$B$3:$M$158,K$9,0),7)</f>
        <v>0.71077100000000004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1.0561214000512988</v>
      </c>
      <c r="R20" s="274">
        <f>ROUND(VLOOKUP(MID($E20,4,3),'Wochentag F(WT)'!$B$7:$J$22,R$9,0),4)</f>
        <v>1</v>
      </c>
      <c r="S20" s="274">
        <f>ROUND(VLOOKUP(MID($E20,4,3),'Wochentag F(WT)'!$B$7:$J$22,S$9,0),4)</f>
        <v>1</v>
      </c>
      <c r="T20" s="274">
        <f>ROUND(VLOOKUP(MID($E20,4,3),'Wochentag F(WT)'!$B$7:$J$22,T$9,0),4)</f>
        <v>1</v>
      </c>
      <c r="U20" s="274">
        <f>ROUND(VLOOKUP(MID($E20,4,3),'Wochentag F(WT)'!$B$7:$J$22,U$9,0),4)</f>
        <v>1</v>
      </c>
      <c r="V20" s="274">
        <f>ROUND(VLOOKUP(MID($E20,4,3),'Wochentag F(WT)'!$B$7:$J$22,V$9,0),4)</f>
        <v>1</v>
      </c>
      <c r="W20" s="274">
        <f>ROUND(VLOOKUP(MID($E20,4,3),'Wochentag F(WT)'!$B$7:$J$22,W$9,0),4)</f>
        <v>1</v>
      </c>
      <c r="X20" s="275">
        <f t="shared" si="2"/>
        <v>1</v>
      </c>
      <c r="Y20" s="292"/>
      <c r="Z20" s="210"/>
    </row>
    <row r="21" spans="2:26" s="142" customFormat="1">
      <c r="B21" s="143">
        <v>10</v>
      </c>
      <c r="C21" s="144" t="str">
        <f t="shared" si="0"/>
        <v>Guben</v>
      </c>
      <c r="D21" s="62" t="s">
        <v>247</v>
      </c>
      <c r="E21" s="164" t="s">
        <v>65</v>
      </c>
      <c r="F21" s="296" t="str">
        <f>VLOOKUP($E21,'BDEW-Standard'!$B$3:$M$158,F$9,0)</f>
        <v>R24</v>
      </c>
      <c r="H21" s="273">
        <f>ROUND(VLOOKUP($E21,'BDEW-Standard'!$B$3:$M$158,H$9,0),7)</f>
        <v>2.4859160999999999</v>
      </c>
      <c r="I21" s="273">
        <f>ROUND(VLOOKUP($E21,'BDEW-Standard'!$B$3:$M$158,I$9,0),7)</f>
        <v>-35.043597800000001</v>
      </c>
      <c r="J21" s="273">
        <f>ROUND(VLOOKUP($E21,'BDEW-Standard'!$B$3:$M$158,J$9,0),7)</f>
        <v>6.2818214000000001</v>
      </c>
      <c r="K21" s="273">
        <f>ROUND(VLOOKUP($E21,'BDEW-Standard'!$B$3:$M$158,K$9,0),7)</f>
        <v>0.12839039999999999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1.0259660127680663</v>
      </c>
      <c r="R21" s="274">
        <f>ROUND(VLOOKUP(MID($E21,4,3),'Wochentag F(WT)'!$B$7:$J$22,R$9,0),4)</f>
        <v>1</v>
      </c>
      <c r="S21" s="274">
        <f>ROUND(VLOOKUP(MID($E21,4,3),'Wochentag F(WT)'!$B$7:$J$22,S$9,0),4)</f>
        <v>1</v>
      </c>
      <c r="T21" s="274">
        <f>ROUND(VLOOKUP(MID($E21,4,3),'Wochentag F(WT)'!$B$7:$J$22,T$9,0),4)</f>
        <v>1</v>
      </c>
      <c r="U21" s="274">
        <f>ROUND(VLOOKUP(MID($E21,4,3),'Wochentag F(WT)'!$B$7:$J$22,U$9,0),4)</f>
        <v>1</v>
      </c>
      <c r="V21" s="274">
        <f>ROUND(VLOOKUP(MID($E21,4,3),'Wochentag F(WT)'!$B$7:$J$22,V$9,0),4)</f>
        <v>1</v>
      </c>
      <c r="W21" s="274">
        <f>ROUND(VLOOKUP(MID($E21,4,3),'Wochentag F(WT)'!$B$7:$J$22,W$9,0),4)</f>
        <v>1</v>
      </c>
      <c r="X21" s="275">
        <f t="shared" si="2"/>
        <v>1</v>
      </c>
      <c r="Y21" s="292"/>
      <c r="Z21" s="210"/>
    </row>
    <row r="22" spans="2:26" s="142" customFormat="1">
      <c r="B22" s="143">
        <v>11</v>
      </c>
      <c r="C22" s="144" t="str">
        <f t="shared" si="0"/>
        <v>Guben</v>
      </c>
      <c r="D22" s="62" t="s">
        <v>247</v>
      </c>
      <c r="E22" s="164" t="s">
        <v>672</v>
      </c>
      <c r="F22" s="296" t="str">
        <f>VLOOKUP($E22,'BDEW-Standard'!$B$3:$M$158,F$9,0)</f>
        <v>MK4</v>
      </c>
      <c r="H22" s="273">
        <f>ROUND(VLOOKUP($E22,'BDEW-Standard'!$B$3:$M$158,H$9,0),7)</f>
        <v>3.1177248</v>
      </c>
      <c r="I22" s="273">
        <f>ROUND(VLOOKUP($E22,'BDEW-Standard'!$B$3:$M$158,I$9,0),7)</f>
        <v>-35.871506199999999</v>
      </c>
      <c r="J22" s="273">
        <f>ROUND(VLOOKUP($E22,'BDEW-Standard'!$B$3:$M$158,J$9,0),7)</f>
        <v>7.5186828999999999</v>
      </c>
      <c r="K22" s="273">
        <f>ROUND(VLOOKUP($E22,'BDEW-Standard'!$B$3:$M$158,K$9,0),7)</f>
        <v>3.4330100000000002E-2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0.9622064996731321</v>
      </c>
      <c r="R22" s="274">
        <f>ROUND(VLOOKUP(MID($E22,4,3),'Wochentag F(WT)'!$B$7:$J$22,R$9,0),4)</f>
        <v>1.0699000000000001</v>
      </c>
      <c r="S22" s="274">
        <f>ROUND(VLOOKUP(MID($E22,4,3),'Wochentag F(WT)'!$B$7:$J$22,S$9,0),4)</f>
        <v>1.0365</v>
      </c>
      <c r="T22" s="274">
        <f>ROUND(VLOOKUP(MID($E22,4,3),'Wochentag F(WT)'!$B$7:$J$22,T$9,0),4)</f>
        <v>0.99329999999999996</v>
      </c>
      <c r="U22" s="274">
        <f>ROUND(VLOOKUP(MID($E22,4,3),'Wochentag F(WT)'!$B$7:$J$22,U$9,0),4)</f>
        <v>0.99480000000000002</v>
      </c>
      <c r="V22" s="274">
        <f>ROUND(VLOOKUP(MID($E22,4,3),'Wochentag F(WT)'!$B$7:$J$22,V$9,0),4)</f>
        <v>1.0659000000000001</v>
      </c>
      <c r="W22" s="274">
        <f>ROUND(VLOOKUP(MID($E22,4,3),'Wochentag F(WT)'!$B$7:$J$22,W$9,0),4)</f>
        <v>0.93620000000000003</v>
      </c>
      <c r="X22" s="275">
        <f t="shared" si="2"/>
        <v>0.90339999999999954</v>
      </c>
      <c r="Y22" s="292"/>
      <c r="Z22" s="210"/>
    </row>
    <row r="23" spans="2:26" s="142" customFormat="1">
      <c r="B23" s="143">
        <v>12</v>
      </c>
      <c r="C23" s="144" t="str">
        <f t="shared" si="0"/>
        <v>Guben</v>
      </c>
      <c r="D23" s="62" t="s">
        <v>247</v>
      </c>
      <c r="E23" s="164" t="s">
        <v>673</v>
      </c>
      <c r="F23" s="296" t="str">
        <f>VLOOKUP($E23,'BDEW-Standard'!$B$3:$M$158,F$9,0)</f>
        <v>PD4</v>
      </c>
      <c r="H23" s="273">
        <f>ROUND(VLOOKUP($E23,'BDEW-Standard'!$B$3:$M$158,H$9,0),7)</f>
        <v>3.85</v>
      </c>
      <c r="I23" s="273">
        <f>ROUND(VLOOKUP($E23,'BDEW-Standard'!$B$3:$M$158,I$9,0),7)</f>
        <v>-37</v>
      </c>
      <c r="J23" s="273">
        <f>ROUND(VLOOKUP($E23,'BDEW-Standard'!$B$3:$M$158,J$9,0),7)</f>
        <v>10.2405021</v>
      </c>
      <c r="K23" s="273">
        <f>ROUND(VLOOKUP($E23,'BDEW-Standard'!$B$3:$M$158,K$9,0),7)</f>
        <v>4.6924300000000002E-2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0.75691065279879233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2"/>
      <c r="Z23" s="210"/>
    </row>
    <row r="24" spans="2:26" s="142" customFormat="1">
      <c r="B24" s="143">
        <v>13</v>
      </c>
      <c r="C24" s="144" t="str">
        <f t="shared" si="0"/>
        <v>Guben</v>
      </c>
      <c r="D24" s="62" t="s">
        <v>247</v>
      </c>
      <c r="E24" s="164" t="s">
        <v>664</v>
      </c>
      <c r="F24" s="296" t="str">
        <f>VLOOKUP($E24,'BDEW-Standard'!$B$3:$M$158,F$9,0)</f>
        <v>BD4</v>
      </c>
      <c r="H24" s="273">
        <f>ROUND(VLOOKUP($E24,'BDEW-Standard'!$B$3:$M$158,H$9,0),7)</f>
        <v>3.75</v>
      </c>
      <c r="I24" s="273">
        <f>ROUND(VLOOKUP($E24,'BDEW-Standard'!$B$3:$M$158,I$9,0),7)</f>
        <v>-37.5</v>
      </c>
      <c r="J24" s="273">
        <f>ROUND(VLOOKUP($E24,'BDEW-Standard'!$B$3:$M$158,J$9,0),7)</f>
        <v>6.8</v>
      </c>
      <c r="K24" s="273">
        <f>ROUND(VLOOKUP($E24,'BDEW-Standard'!$B$3:$M$158,K$9,0),7)</f>
        <v>6.0911300000000002E-2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1.0126136468627658</v>
      </c>
      <c r="R24" s="274">
        <f>ROUND(VLOOKUP(MID($E24,4,3),'Wochentag F(WT)'!$B$7:$J$22,R$9,0),4)</f>
        <v>1.1052</v>
      </c>
      <c r="S24" s="274">
        <f>ROUND(VLOOKUP(MID($E24,4,3),'Wochentag F(WT)'!$B$7:$J$22,S$9,0),4)</f>
        <v>1.0857000000000001</v>
      </c>
      <c r="T24" s="274">
        <f>ROUND(VLOOKUP(MID($E24,4,3),'Wochentag F(WT)'!$B$7:$J$22,T$9,0),4)</f>
        <v>1.0378000000000001</v>
      </c>
      <c r="U24" s="274">
        <f>ROUND(VLOOKUP(MID($E24,4,3),'Wochentag F(WT)'!$B$7:$J$22,U$9,0),4)</f>
        <v>1.0622</v>
      </c>
      <c r="V24" s="274">
        <f>ROUND(VLOOKUP(MID($E24,4,3),'Wochentag F(WT)'!$B$7:$J$22,V$9,0),4)</f>
        <v>1.0266</v>
      </c>
      <c r="W24" s="274">
        <f>ROUND(VLOOKUP(MID($E24,4,3),'Wochentag F(WT)'!$B$7:$J$22,W$9,0),4)</f>
        <v>0.76290000000000002</v>
      </c>
      <c r="X24" s="275">
        <f t="shared" si="2"/>
        <v>0.91959999999999997</v>
      </c>
      <c r="Y24" s="292"/>
      <c r="Z24" s="210"/>
    </row>
    <row r="25" spans="2:26" s="142" customFormat="1">
      <c r="B25" s="143">
        <v>14</v>
      </c>
      <c r="C25" s="144" t="str">
        <f t="shared" si="0"/>
        <v>Guben</v>
      </c>
      <c r="D25" s="62" t="s">
        <v>247</v>
      </c>
      <c r="E25" s="164" t="s">
        <v>674</v>
      </c>
      <c r="F25" s="296" t="str">
        <f>VLOOKUP($E25,'BDEW-Standard'!$B$3:$M$158,F$9,0)</f>
        <v>WA4</v>
      </c>
      <c r="H25" s="273">
        <f>ROUND(VLOOKUP($E25,'BDEW-Standard'!$B$3:$M$158,H$9,0),7)</f>
        <v>1.0535874999999999</v>
      </c>
      <c r="I25" s="273">
        <f>ROUND(VLOOKUP($E25,'BDEW-Standard'!$B$3:$M$158,I$9,0),7)</f>
        <v>-35.299999999999997</v>
      </c>
      <c r="J25" s="273">
        <f>ROUND(VLOOKUP($E25,'BDEW-Standard'!$B$3:$M$158,J$9,0),7)</f>
        <v>4.8662747</v>
      </c>
      <c r="K25" s="273">
        <f>ROUND(VLOOKUP($E25,'BDEW-Standard'!$B$3:$M$158,K$9,0),7)</f>
        <v>0.68110420000000005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1.0844348950990992</v>
      </c>
      <c r="R25" s="274">
        <f>ROUND(VLOOKUP(MID($E25,4,3),'Wochentag F(WT)'!$B$7:$J$22,R$9,0),4)</f>
        <v>1.2457</v>
      </c>
      <c r="S25" s="274">
        <f>ROUND(VLOOKUP(MID($E25,4,3),'Wochentag F(WT)'!$B$7:$J$22,S$9,0),4)</f>
        <v>1.2615000000000001</v>
      </c>
      <c r="T25" s="274">
        <f>ROUND(VLOOKUP(MID($E25,4,3),'Wochentag F(WT)'!$B$7:$J$22,T$9,0),4)</f>
        <v>1.2706999999999999</v>
      </c>
      <c r="U25" s="274">
        <f>ROUND(VLOOKUP(MID($E25,4,3),'Wochentag F(WT)'!$B$7:$J$22,U$9,0),4)</f>
        <v>1.2430000000000001</v>
      </c>
      <c r="V25" s="274">
        <f>ROUND(VLOOKUP(MID($E25,4,3),'Wochentag F(WT)'!$B$7:$J$22,V$9,0),4)</f>
        <v>1.1275999999999999</v>
      </c>
      <c r="W25" s="274">
        <f>ROUND(VLOOKUP(MID($E25,4,3),'Wochentag F(WT)'!$B$7:$J$22,W$9,0),4)</f>
        <v>0.38769999999999999</v>
      </c>
      <c r="X25" s="275">
        <f t="shared" si="2"/>
        <v>0.46379999999999999</v>
      </c>
      <c r="Y25" s="292"/>
      <c r="Z25" s="210"/>
    </row>
    <row r="26" spans="2:26" s="142" customFormat="1">
      <c r="B26" s="143">
        <v>15</v>
      </c>
      <c r="C26" s="144" t="str">
        <f t="shared" si="0"/>
        <v>Guben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Guben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Guben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Guben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Guben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Guben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Guben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Guben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Guben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Guben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Guben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Guben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Guben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Guben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Guben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Guben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25 F12:P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B2" sqref="AB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Energieversorgung Guben GmbH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Guben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9870087800009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427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398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428</v>
      </c>
    </row>
    <row r="11" spans="2:30" ht="15.75" thickBot="1">
      <c r="B11" s="102" t="s">
        <v>419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1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3">
        <f>MIN(SUMPRODUCT($M$11:$AD$11,M12:AD12),1)</f>
        <v>1</v>
      </c>
      <c r="F12" s="300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400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401</v>
      </c>
      <c r="C14" s="116"/>
      <c r="D14" s="111">
        <v>6</v>
      </c>
      <c r="E14" s="304">
        <f t="shared" si="0"/>
        <v>0</v>
      </c>
      <c r="F14" s="301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414</v>
      </c>
      <c r="C16" s="116"/>
      <c r="D16" s="111">
        <v>8</v>
      </c>
      <c r="E16" s="304">
        <f t="shared" si="0"/>
        <v>1</v>
      </c>
      <c r="F16" s="301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415</v>
      </c>
      <c r="C17" s="116"/>
      <c r="D17" s="111">
        <v>9</v>
      </c>
      <c r="E17" s="304">
        <f t="shared" si="0"/>
        <v>1</v>
      </c>
      <c r="F17" s="301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416</v>
      </c>
      <c r="C18" s="116"/>
      <c r="D18" s="111">
        <v>10</v>
      </c>
      <c r="E18" s="304">
        <f t="shared" si="0"/>
        <v>1</v>
      </c>
      <c r="F18" s="301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403</v>
      </c>
      <c r="C19" s="116"/>
      <c r="D19" s="111">
        <v>11</v>
      </c>
      <c r="E19" s="304">
        <f t="shared" si="0"/>
        <v>1</v>
      </c>
      <c r="F19" s="301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417</v>
      </c>
      <c r="C21" s="116"/>
      <c r="D21" s="111">
        <v>13</v>
      </c>
      <c r="E21" s="304">
        <f t="shared" si="0"/>
        <v>1</v>
      </c>
      <c r="F21" s="301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418</v>
      </c>
      <c r="C22" s="116"/>
      <c r="D22" s="111">
        <v>14</v>
      </c>
      <c r="E22" s="304">
        <f t="shared" si="0"/>
        <v>1</v>
      </c>
      <c r="F22" s="301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0</v>
      </c>
      <c r="F23" s="301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404</v>
      </c>
      <c r="C24" s="116"/>
      <c r="D24" s="111">
        <v>16</v>
      </c>
      <c r="E24" s="304">
        <f t="shared" si="0"/>
        <v>0</v>
      </c>
      <c r="F24" s="301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405</v>
      </c>
      <c r="C25" s="116"/>
      <c r="D25" s="111">
        <v>17</v>
      </c>
      <c r="E25" s="304">
        <f t="shared" si="0"/>
        <v>0</v>
      </c>
      <c r="F25" s="301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406</v>
      </c>
      <c r="C26" s="116"/>
      <c r="D26" s="111">
        <v>18</v>
      </c>
      <c r="E26" s="304">
        <f t="shared" si="0"/>
        <v>1</v>
      </c>
      <c r="F26" s="301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407</v>
      </c>
      <c r="C27" s="116"/>
      <c r="D27" s="111">
        <v>19</v>
      </c>
      <c r="E27" s="304">
        <f t="shared" si="0"/>
        <v>1</v>
      </c>
      <c r="F27" s="301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408</v>
      </c>
      <c r="C28" s="116"/>
      <c r="D28" s="111">
        <v>20</v>
      </c>
      <c r="E28" s="304">
        <f t="shared" si="0"/>
        <v>0</v>
      </c>
      <c r="F28" s="301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409</v>
      </c>
      <c r="C29" s="116"/>
      <c r="D29" s="111">
        <v>21</v>
      </c>
      <c r="E29" s="304">
        <f t="shared" si="0"/>
        <v>0</v>
      </c>
      <c r="F29" s="301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410</v>
      </c>
      <c r="C30" s="116"/>
      <c r="D30" s="111">
        <v>22</v>
      </c>
      <c r="E30" s="304">
        <f t="shared" si="0"/>
        <v>0</v>
      </c>
      <c r="F30" s="301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411</v>
      </c>
      <c r="C31" s="116"/>
      <c r="D31" s="111">
        <v>23</v>
      </c>
      <c r="E31" s="304">
        <f t="shared" si="0"/>
        <v>1</v>
      </c>
      <c r="F31" s="301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412</v>
      </c>
      <c r="C32" s="116"/>
      <c r="D32" s="111">
        <v>24</v>
      </c>
      <c r="E32" s="304">
        <f t="shared" si="0"/>
        <v>1</v>
      </c>
      <c r="F32" s="301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413</v>
      </c>
      <c r="C33" s="122"/>
      <c r="D33" s="123">
        <v>25</v>
      </c>
      <c r="E33" s="305">
        <f t="shared" si="0"/>
        <v>0</v>
      </c>
      <c r="F33" s="302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347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368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368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Walter, Christian</cp:lastModifiedBy>
  <cp:lastPrinted>2015-03-20T22:59:10Z</cp:lastPrinted>
  <dcterms:created xsi:type="dcterms:W3CDTF">2015-01-15T05:25:41Z</dcterms:created>
  <dcterms:modified xsi:type="dcterms:W3CDTF">2015-09-30T12:47:24Z</dcterms:modified>
</cp:coreProperties>
</file>